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yn\Documents\Courses\ProbStat4\D2L\"/>
    </mc:Choice>
  </mc:AlternateContent>
  <bookViews>
    <workbookView xWindow="-30" yWindow="-30" windowWidth="11115" windowHeight="10455"/>
  </bookViews>
  <sheets>
    <sheet name="Table" sheetId="1" r:id="rId1"/>
    <sheet name="Graph1" sheetId="4" r:id="rId2"/>
    <sheet name="Graph2" sheetId="3" r:id="rId3"/>
    <sheet name="CI - PI" sheetId="6" r:id="rId4"/>
  </sheets>
  <definedNames>
    <definedName name="_xlnm.Print_Area" localSheetId="0">Table!$A$1:$I$43</definedName>
  </definedNames>
  <calcPr calcId="162913"/>
</workbook>
</file>

<file path=xl/calcChain.xml><?xml version="1.0" encoding="utf-8"?>
<calcChain xmlns="http://schemas.openxmlformats.org/spreadsheetml/2006/main">
  <c r="M37" i="1" l="1"/>
  <c r="K37" i="1" s="1"/>
  <c r="L37" i="1"/>
  <c r="I37" i="1"/>
  <c r="H37" i="1"/>
  <c r="G37" i="1"/>
  <c r="F37" i="1"/>
  <c r="G29" i="1"/>
  <c r="J29" i="1"/>
  <c r="K29" i="1"/>
  <c r="L29" i="1"/>
  <c r="H29" i="1" s="1"/>
  <c r="M29" i="1"/>
  <c r="G30" i="1"/>
  <c r="J30" i="1" s="1"/>
  <c r="L30" i="1"/>
  <c r="H30" i="1" s="1"/>
  <c r="M30" i="1"/>
  <c r="K30" i="1" s="1"/>
  <c r="G31" i="1"/>
  <c r="L31" i="1"/>
  <c r="H31" i="1" s="1"/>
  <c r="M31" i="1"/>
  <c r="J31" i="1" s="1"/>
  <c r="G32" i="1"/>
  <c r="H32" i="1" s="1"/>
  <c r="L32" i="1"/>
  <c r="M32" i="1"/>
  <c r="G33" i="1"/>
  <c r="I33" i="1" s="1"/>
  <c r="H33" i="1"/>
  <c r="L33" i="1"/>
  <c r="M33" i="1"/>
  <c r="G34" i="1"/>
  <c r="J34" i="1" s="1"/>
  <c r="H34" i="1"/>
  <c r="I34" i="1"/>
  <c r="L34" i="1"/>
  <c r="M34" i="1"/>
  <c r="G35" i="1"/>
  <c r="K35" i="1" s="1"/>
  <c r="H35" i="1"/>
  <c r="I35" i="1"/>
  <c r="J35" i="1"/>
  <c r="L35" i="1"/>
  <c r="M35" i="1"/>
  <c r="K28" i="1"/>
  <c r="J28" i="1"/>
  <c r="I28" i="1"/>
  <c r="H28" i="1"/>
  <c r="M28" i="1"/>
  <c r="L28" i="1"/>
  <c r="G28" i="1"/>
  <c r="F30" i="1"/>
  <c r="F31" i="1" s="1"/>
  <c r="F32" i="1" s="1"/>
  <c r="F33" i="1" s="1"/>
  <c r="F34" i="1" s="1"/>
  <c r="F35" i="1" s="1"/>
  <c r="F29" i="1"/>
  <c r="G25" i="1"/>
  <c r="J37" i="1" l="1"/>
  <c r="K31" i="1"/>
  <c r="I29" i="1"/>
  <c r="K33" i="1"/>
  <c r="I31" i="1"/>
  <c r="J33" i="1"/>
  <c r="K32" i="1"/>
  <c r="I30" i="1"/>
  <c r="J32" i="1"/>
  <c r="K34" i="1"/>
  <c r="I32" i="1"/>
  <c r="F4" i="1" l="1"/>
  <c r="F16" i="1" s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B22" i="1"/>
  <c r="F5" i="1" s="1"/>
  <c r="C22" i="1"/>
  <c r="F6" i="1" s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K6" i="1"/>
  <c r="K7" i="1"/>
  <c r="K8" i="1"/>
  <c r="K9" i="1"/>
  <c r="K10" i="1"/>
  <c r="K11" i="1"/>
  <c r="K12" i="1"/>
  <c r="K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K5" i="1"/>
  <c r="L14" i="1"/>
  <c r="L15" i="1"/>
  <c r="L16" i="1"/>
  <c r="L17" i="1"/>
  <c r="L18" i="1"/>
  <c r="L19" i="1"/>
  <c r="L20" i="1"/>
  <c r="K14" i="1"/>
  <c r="K15" i="1"/>
  <c r="K16" i="1"/>
  <c r="K17" i="1"/>
  <c r="K18" i="1"/>
  <c r="K19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F17" i="1" l="1"/>
  <c r="H20" i="1"/>
  <c r="H23" i="1"/>
  <c r="H22" i="1"/>
  <c r="H21" i="1"/>
  <c r="C43" i="1"/>
  <c r="F9" i="1" s="1"/>
  <c r="D43" i="1"/>
  <c r="F7" i="1" s="1"/>
  <c r="B43" i="1"/>
  <c r="F8" i="1" s="1"/>
  <c r="F10" i="1" s="1"/>
  <c r="H5" i="1"/>
  <c r="H6" i="1"/>
  <c r="F12" i="1"/>
  <c r="F11" i="1"/>
  <c r="G17" i="1" s="1"/>
  <c r="H8" i="1" l="1"/>
  <c r="G15" i="1"/>
  <c r="G16" i="1" s="1"/>
  <c r="H16" i="1" s="1"/>
  <c r="F19" i="1" s="1"/>
  <c r="H15" i="1" l="1"/>
  <c r="I15" i="1" s="1"/>
  <c r="F20" i="1" s="1"/>
  <c r="H12" i="1"/>
  <c r="H11" i="1"/>
  <c r="H9" i="1"/>
  <c r="L11" i="1" s="1"/>
  <c r="M11" i="1" s="1"/>
  <c r="N11" i="1" s="1"/>
  <c r="L9" i="1" l="1"/>
  <c r="M9" i="1" s="1"/>
  <c r="N9" i="1" s="1"/>
  <c r="L7" i="1"/>
  <c r="M7" i="1" s="1"/>
  <c r="N7" i="1" s="1"/>
  <c r="L5" i="1"/>
  <c r="M5" i="1" s="1"/>
  <c r="L8" i="1"/>
  <c r="M8" i="1" s="1"/>
  <c r="N8" i="1" s="1"/>
  <c r="L12" i="1"/>
  <c r="M12" i="1" s="1"/>
  <c r="N12" i="1" s="1"/>
  <c r="L13" i="1"/>
  <c r="M13" i="1" s="1"/>
  <c r="N13" i="1" s="1"/>
  <c r="L10" i="1"/>
  <c r="M10" i="1" s="1"/>
  <c r="N10" i="1" s="1"/>
  <c r="I21" i="1"/>
  <c r="I23" i="1"/>
  <c r="I20" i="1"/>
  <c r="I22" i="1"/>
  <c r="F23" i="1"/>
  <c r="N5" i="1"/>
  <c r="L6" i="1"/>
  <c r="M6" i="1" s="1"/>
  <c r="N6" i="1" s="1"/>
  <c r="N22" i="1" l="1"/>
  <c r="M22" i="1"/>
</calcChain>
</file>

<file path=xl/sharedStrings.xml><?xml version="1.0" encoding="utf-8"?>
<sst xmlns="http://schemas.openxmlformats.org/spreadsheetml/2006/main" count="73" uniqueCount="63">
  <si>
    <t>After</t>
  </si>
  <si>
    <t>Before</t>
  </si>
  <si>
    <t xml:space="preserve">n = </t>
  </si>
  <si>
    <t xml:space="preserve">Sum = </t>
  </si>
  <si>
    <t>Product</t>
  </si>
  <si>
    <t>Person</t>
  </si>
  <si>
    <t>i</t>
  </si>
  <si>
    <t>Calculations: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</si>
  <si>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</si>
  <si>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</si>
  <si>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</si>
  <si>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</si>
  <si>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</si>
  <si>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</si>
  <si>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</si>
  <si>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</si>
  <si>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</si>
  <si>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 xml:space="preserve">t = </t>
  </si>
  <si>
    <t>Predicted values</t>
  </si>
  <si>
    <t>Residuals</t>
  </si>
  <si>
    <t>Decision</t>
  </si>
  <si>
    <t>slope = 0</t>
  </si>
  <si>
    <t>slope &lt;&gt; 0</t>
  </si>
  <si>
    <t xml:space="preserve">P-value = </t>
  </si>
  <si>
    <r>
      <t xml:space="preserve">Finding the line of best fit in the least squares sense,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</rPr>
      <t xml:space="preserve"> .</t>
    </r>
  </si>
  <si>
    <r>
      <t>x</t>
    </r>
    <r>
      <rPr>
        <i/>
        <vertAlign val="subscript"/>
        <sz val="12"/>
        <rFont val="Times New Roman"/>
        <family val="1"/>
      </rPr>
      <t>i</t>
    </r>
  </si>
  <si>
    <r>
      <t>y</t>
    </r>
    <r>
      <rPr>
        <i/>
        <vertAlign val="subscript"/>
        <sz val="12"/>
        <rFont val="Times New Roman"/>
        <family val="1"/>
      </rPr>
      <t>i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</si>
  <si>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</si>
  <si>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y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</si>
  <si>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i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</si>
  <si>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</si>
  <si>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</si>
  <si>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</si>
  <si>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</si>
  <si>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</si>
  <si>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</si>
  <si>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</si>
  <si>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</si>
  <si>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</si>
  <si>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</si>
  <si>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</si>
  <si>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</si>
  <si>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</si>
  <si>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</si>
  <si>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</si>
  <si>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</si>
  <si>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</si>
  <si>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</rPr>
      <t xml:space="preserve"> : </t>
    </r>
  </si>
  <si>
    <r>
      <t>y</t>
    </r>
    <r>
      <rPr>
        <i/>
        <vertAlign val="superscript"/>
        <sz val="12"/>
        <rFont val="Times New Roman"/>
        <family val="1"/>
      </rPr>
      <t>*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</si>
  <si>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</si>
  <si>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</si>
  <si>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>Example 15.02 (same data set as "</t>
    </r>
    <r>
      <rPr>
        <sz val="12"/>
        <rFont val="Courier New"/>
        <family val="3"/>
      </rPr>
      <t>t2test.xls</t>
    </r>
    <r>
      <rPr>
        <sz val="12"/>
        <rFont val="Times New Roman"/>
      </rPr>
      <t xml:space="preserve">"):  </t>
    </r>
  </si>
  <si>
    <r>
      <t xml:space="preserve">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</rPr>
      <t xml:space="preserve"> </t>
    </r>
  </si>
  <si>
    <t>95% confidence and prediction intervals:</t>
  </si>
  <si>
    <t>x</t>
  </si>
  <si>
    <t>y(pred)</t>
  </si>
  <si>
    <t>CI(low)</t>
  </si>
  <si>
    <t>CI(hi)</t>
  </si>
  <si>
    <t>PI(low)</t>
  </si>
  <si>
    <t>PI(hi)</t>
  </si>
  <si>
    <t>CI width/2</t>
  </si>
  <si>
    <t>PI width/2</t>
  </si>
  <si>
    <r>
      <t>t</t>
    </r>
    <r>
      <rPr>
        <vertAlign val="subscript"/>
        <sz val="12"/>
        <rFont val="Times New Roman"/>
        <family val="1"/>
      </rPr>
      <t>.025,</t>
    </r>
    <r>
      <rPr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</si>
</sst>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  <charset val="2"/>
    </font>
    <font>
      <i/>
      <vertAlign val="superscript"/>
      <sz val="12"/>
      <name val="Times New Roman"/>
      <family val="1"/>
    </font>
    <font>
      <sz val="12"/>
      <name val="Courier New"/>
      <family val="3"/>
    </font>
    <font>
      <sz val="12"/>
      <name val="ScriptC"/>
    </font>
    <font>
      <vertAlign val="subscript"/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" fillId="2" borderId="0" xfId="0" applyFont="1" applyFill="1"/>
    <xf numFmtId="0" fontId="9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1" fillId="4" borderId="2" xfId="0" applyFont="1" applyFill="1" applyBorder="1"/>
    <xf numFmtId="0" fontId="1" fillId="3" borderId="0" xfId="0" applyFont="1" applyFill="1" applyAlignment="1">
      <alignment horizontal="right"/>
    </xf>
    <xf numFmtId="0" fontId="0" fillId="3" borderId="0" xfId="0" applyFill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5" borderId="6" xfId="0" applyFill="1" applyBorder="1" applyProtection="1">
      <protection locked="0"/>
    </xf>
    <xf numFmtId="0" fontId="2" fillId="5" borderId="6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8" xfId="0" applyNumberFormat="1" applyBorder="1"/>
    <xf numFmtId="0" fontId="15" fillId="0" borderId="0" xfId="0" applyFont="1" applyBorder="1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Simple Linear Regression (Example 2)</a:t>
            </a:r>
          </a:p>
        </c:rich>
      </c:tx>
      <c:layout>
        <c:manualLayout>
          <c:xMode val="edge"/>
          <c:yMode val="edge"/>
          <c:x val="0.3076923076923077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956521739130432E-2"/>
          <c:y val="0.13911620294599017"/>
          <c:w val="0.88628762541806017"/>
          <c:h val="0.731587561374795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Table!$B$5:$B$13</c:f>
              <c:numCache>
                <c:formatCode>General</c:formatCod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formatCode>General</c:formatCod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6-4851-86EF-F4CBAB56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11808"/>
        <c:axId val="121243904"/>
      </c:scatterChart>
      <c:valAx>
        <c:axId val="10751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 (Before)</a:t>
                </a:r>
              </a:p>
            </c:rich>
          </c:tx>
          <c:layout>
            <c:manualLayout>
              <c:xMode val="edge"/>
              <c:yMode val="edge"/>
              <c:x val="0.48940914158305465"/>
              <c:y val="0.9345335515548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1243904"/>
        <c:crosses val="autoZero"/>
        <c:crossBetween val="midCat"/>
      </c:valAx>
      <c:valAx>
        <c:axId val="12124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 (After)</a:t>
                </a:r>
              </a:p>
            </c:rich>
          </c:tx>
          <c:layout>
            <c:manualLayout>
              <c:xMode val="edge"/>
              <c:yMode val="edge"/>
              <c:x val="1.2263099219620958E-2"/>
              <c:y val="0.4549918166939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511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Simple Linear Regression (Example 2)</a:t>
            </a:r>
          </a:p>
        </c:rich>
      </c:tx>
      <c:layout>
        <c:manualLayout>
          <c:xMode val="edge"/>
          <c:yMode val="edge"/>
          <c:x val="0.30846325167037864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59688195991089E-2"/>
          <c:y val="0.13911620294599017"/>
          <c:w val="0.88641425389755013"/>
          <c:h val="0.7315875613747954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Table!$A$2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4.7839643652561291E-2"/>
                  <c:y val="-4.9273382562040561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CA"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y = 0.8701x + 11.341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CA"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R</a:t>
                    </a:r>
                    <a:r>
                      <a:rPr lang="en-CA" sz="1400" b="0" i="0" u="none" strike="noStrike" baseline="3000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en-CA"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= 0.992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Table!$B$5:$B$13</c:f>
              <c:numCache>
                <c:formatCode>General</c:formatCod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formatCode>General</c:formatCod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77-4C4C-A452-609FA0A4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6704"/>
        <c:axId val="51338624"/>
      </c:scatterChart>
      <c:valAx>
        <c:axId val="51336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 (Before)</a:t>
                </a:r>
              </a:p>
            </c:rich>
          </c:tx>
          <c:layout>
            <c:manualLayout>
              <c:xMode val="edge"/>
              <c:yMode val="edge"/>
              <c:x val="0.48997772828507796"/>
              <c:y val="0.9345335515548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38624"/>
        <c:crosses val="autoZero"/>
        <c:crossBetween val="midCat"/>
      </c:valAx>
      <c:valAx>
        <c:axId val="5133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 (After)</a:t>
                </a:r>
              </a:p>
            </c:rich>
          </c:tx>
          <c:layout>
            <c:manualLayout>
              <c:xMode val="edge"/>
              <c:yMode val="edge"/>
              <c:x val="1.2249443207126948E-2"/>
              <c:y val="0.4549918166939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36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>
                <a:latin typeface="Times New Roman" panose="02020603050405020304" pitchFamily="18" charset="0"/>
                <a:cs typeface="Times New Roman" panose="02020603050405020304" pitchFamily="18" charset="0"/>
              </a:rPr>
              <a:t>ENGI 4421 example 15.02</a:t>
            </a:r>
            <a:br>
              <a:rPr lang="en-CA" sz="180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n-CA" sz="1800">
                <a:latin typeface="Times New Roman" panose="02020603050405020304" pitchFamily="18" charset="0"/>
                <a:cs typeface="Times New Roman" panose="02020603050405020304" pitchFamily="18" charset="0"/>
              </a:rPr>
              <a:t>Confidence</a:t>
            </a:r>
            <a:r>
              <a:rPr lang="en-CA" sz="18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&amp; Prediction Intervals</a:t>
            </a:r>
            <a:endParaRPr lang="en-CA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Table!$K$27</c:f>
              <c:strCache>
                <c:ptCount val="1"/>
                <c:pt idx="0">
                  <c:v>PI(hi)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Table!$F$28:$F$35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Table!$K$28:$K$35</c:f>
              <c:numCache>
                <c:formatCode>General</c:formatCode>
                <c:ptCount val="8"/>
                <c:pt idx="0">
                  <c:v>41.683978342298168</c:v>
                </c:pt>
                <c:pt idx="1">
                  <c:v>50.034595597793711</c:v>
                </c:pt>
                <c:pt idx="2">
                  <c:v>58.486807687045967</c:v>
                </c:pt>
                <c:pt idx="3">
                  <c:v>67.06227433739096</c:v>
                </c:pt>
                <c:pt idx="4">
                  <c:v>75.774206378592282</c:v>
                </c:pt>
                <c:pt idx="5">
                  <c:v>84.621402415462256</c:v>
                </c:pt>
                <c:pt idx="6">
                  <c:v>93.588838680632236</c:v>
                </c:pt>
                <c:pt idx="7">
                  <c:v>102.65424146442294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E-41D2-B30C-7D9D70BFA6AF}"/>
            </c:ext>
          </c:extLst>
        </c:ser>
        <c:ser>
          <c:idx val="2"/>
          <c:order val="1"/>
          <c:tx>
            <c:strRef>
              <c:f>Table!$I$27</c:f>
              <c:strCache>
                <c:ptCount val="1"/>
                <c:pt idx="0">
                  <c:v>CI(hi)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Table!$F$28:$F$35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Table!$I$28:$I$35</c:f>
              <c:numCache>
                <c:formatCode>General</c:formatCode>
                <c:ptCount val="8"/>
                <c:pt idx="0">
                  <c:v>40.078402826564719</c:v>
                </c:pt>
                <c:pt idx="1">
                  <c:v>48.16750850376139</c:v>
                </c:pt>
                <c:pt idx="2">
                  <c:v>56.334545489684167</c:v>
                </c:pt>
                <c:pt idx="3">
                  <c:v>64.694237812155023</c:v>
                </c:pt>
                <c:pt idx="4">
                  <c:v>73.428021190176878</c:v>
                </c:pt>
                <c:pt idx="5">
                  <c:v>82.512627089673373</c:v>
                </c:pt>
                <c:pt idx="6">
                  <c:v>91.765003697422912</c:v>
                </c:pt>
                <c:pt idx="7">
                  <c:v>101.08543537989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E-41D2-B30C-7D9D70BFA6AF}"/>
            </c:ext>
          </c:extLst>
        </c:ser>
        <c:ser>
          <c:idx val="0"/>
          <c:order val="2"/>
          <c:tx>
            <c:strRef>
              <c:f>Table!$G$27</c:f>
              <c:strCache>
                <c:ptCount val="1"/>
                <c:pt idx="0">
                  <c:v>y(pred)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Table!$F$28:$F$35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Table!$G$28:$G$35</c:f>
              <c:numCache>
                <c:formatCode>General</c:formatCode>
                <c:ptCount val="8"/>
                <c:pt idx="0">
                  <c:v>37.444924406047519</c:v>
                </c:pt>
                <c:pt idx="1">
                  <c:v>46.146082858825835</c:v>
                </c:pt>
                <c:pt idx="2">
                  <c:v>54.847241311604165</c:v>
                </c:pt>
                <c:pt idx="3">
                  <c:v>63.548399764382488</c:v>
                </c:pt>
                <c:pt idx="4">
                  <c:v>72.249558217160811</c:v>
                </c:pt>
                <c:pt idx="5">
                  <c:v>80.950716669939126</c:v>
                </c:pt>
                <c:pt idx="6">
                  <c:v>89.651875122717456</c:v>
                </c:pt>
                <c:pt idx="7">
                  <c:v>98.353033575495786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E-41D2-B30C-7D9D70BFA6AF}"/>
            </c:ext>
          </c:extLst>
        </c:ser>
        <c:ser>
          <c:idx val="1"/>
          <c:order val="3"/>
          <c:tx>
            <c:strRef>
              <c:f>Table!$H$27</c:f>
              <c:strCache>
                <c:ptCount val="1"/>
                <c:pt idx="0">
                  <c:v>CI(low)</c:v>
                </c:pt>
              </c:strCache>
            </c:strRef>
          </c:tx>
          <c:spPr>
            <a:ln w="28575" cap="rnd">
              <a:solidFill>
                <a:srgbClr val="FF66FF"/>
              </a:solidFill>
              <a:round/>
            </a:ln>
            <a:effectLst/>
          </c:spPr>
          <c:marker>
            <c:symbol val="none"/>
          </c:marker>
          <c:cat>
            <c:numRef>
              <c:f>Table!$F$28:$F$35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Table!$H$28:$H$35</c:f>
              <c:numCache>
                <c:formatCode>General</c:formatCode>
                <c:ptCount val="8"/>
                <c:pt idx="0">
                  <c:v>34.81144598553032</c:v>
                </c:pt>
                <c:pt idx="1">
                  <c:v>44.124657213890281</c:v>
                </c:pt>
                <c:pt idx="2">
                  <c:v>53.359937133524163</c:v>
                </c:pt>
                <c:pt idx="3">
                  <c:v>62.402561716609959</c:v>
                </c:pt>
                <c:pt idx="4">
                  <c:v>71.071095244144743</c:v>
                </c:pt>
                <c:pt idx="5">
                  <c:v>79.38880625020488</c:v>
                </c:pt>
                <c:pt idx="6">
                  <c:v>87.538746548012</c:v>
                </c:pt>
                <c:pt idx="7">
                  <c:v>95.620631771101571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BE-41D2-B30C-7D9D70BFA6AF}"/>
            </c:ext>
          </c:extLst>
        </c:ser>
        <c:ser>
          <c:idx val="3"/>
          <c:order val="4"/>
          <c:tx>
            <c:strRef>
              <c:f>Table!$J$27</c:f>
              <c:strCache>
                <c:ptCount val="1"/>
                <c:pt idx="0">
                  <c:v>PI(low)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Table!$F$28:$F$35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Table!$J$28:$J$35</c:f>
              <c:numCache>
                <c:formatCode>General</c:formatCode>
                <c:ptCount val="8"/>
                <c:pt idx="0">
                  <c:v>33.205870469796871</c:v>
                </c:pt>
                <c:pt idx="1">
                  <c:v>42.257570119857959</c:v>
                </c:pt>
                <c:pt idx="2">
                  <c:v>51.207674936162363</c:v>
                </c:pt>
                <c:pt idx="3">
                  <c:v>60.034525191374016</c:v>
                </c:pt>
                <c:pt idx="4">
                  <c:v>68.724910055729339</c:v>
                </c:pt>
                <c:pt idx="5">
                  <c:v>77.280030924415996</c:v>
                </c:pt>
                <c:pt idx="6">
                  <c:v>85.714911564802676</c:v>
                </c:pt>
                <c:pt idx="7">
                  <c:v>94.051825686568634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BE-41D2-B30C-7D9D70BF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058336"/>
        <c:axId val="1542058752"/>
      </c:lineChart>
      <c:catAx>
        <c:axId val="15420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058752"/>
        <c:crosses val="autoZero"/>
        <c:auto val="1"/>
        <c:lblAlgn val="ctr"/>
        <c:lblOffset val="100"/>
        <c:noMultiLvlLbl val="0"/>
      </c:catAx>
      <c:valAx>
        <c:axId val="1542058752"/>
        <c:scaling>
          <c:orientation val="minMax"/>
          <c:max val="10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05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552047013184934"/>
          <c:y val="0.24112558657440547"/>
          <c:w val="8.3013254208326601E-2"/>
          <c:h val="0.17045573848723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&amp;L&amp;"Times New Roman,Bold"ENGI 4421&amp;R&amp;"Lincoln,Regular"&amp;14Dr. G.H. George</oddHeader>
    <oddFooter>&amp;L&amp;F - &amp;A&amp;R&amp;D  &amp;T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&amp;L&amp;"Times New Roman,Bold"ENGI 4421&amp;R&amp;"Lincoln,Regular"&amp;14Dr. G.H. George</oddHeader>
    <oddFooter>&amp;L&amp;F - &amp;A&amp;R&amp;D  &amp;T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5200" cy="5854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5200" cy="5854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B14" sqref="B14"/>
    </sheetView>
  </sheetViews>
  <sheetFormatPr defaultRowHeight="15.75" x14ac:dyDescent="0.25"/>
  <cols>
    <col min="1" max="1" width="6.375" customWidth="1"/>
    <col min="2" max="3" width="6.625" customWidth="1"/>
    <col min="4" max="4" width="5.875" customWidth="1"/>
    <col min="5" max="5" width="12.625" customWidth="1"/>
    <col min="6" max="6" width="12.5" bestFit="1" customWidth="1"/>
    <col min="7" max="7" width="12" customWidth="1"/>
    <col min="9" max="9" width="7.875" customWidth="1"/>
    <col min="10" max="10" width="8.125" customWidth="1"/>
  </cols>
  <sheetData>
    <row r="1" spans="1:14" x14ac:dyDescent="0.25">
      <c r="B1" t="s">
        <v>51</v>
      </c>
    </row>
    <row r="2" spans="1:14" ht="18.75" x14ac:dyDescent="0.35">
      <c r="C2" t="s">
        <v>24</v>
      </c>
    </row>
    <row r="3" spans="1:14" x14ac:dyDescent="0.25">
      <c r="A3" s="2" t="s">
        <v>5</v>
      </c>
      <c r="B3" s="2" t="s">
        <v>1</v>
      </c>
      <c r="C3" s="2" t="s">
        <v>0</v>
      </c>
      <c r="E3" s="2"/>
      <c r="F3" s="2"/>
      <c r="G3" s="2"/>
      <c r="H3" s="2"/>
      <c r="L3" s="6" t="s">
        <v>18</v>
      </c>
      <c r="M3" s="8" t="s">
        <v>19</v>
      </c>
    </row>
    <row r="4" spans="1:14" ht="20.25" x14ac:dyDescent="0.35">
      <c r="A4" s="12" t="s">
        <v>6</v>
      </c>
      <c r="B4" s="12" t="s">
        <v>25</v>
      </c>
      <c r="C4" s="12" t="s">
        <v>26</v>
      </c>
      <c r="E4" s="13" t="s">
        <v>2</v>
      </c>
      <c r="F4">
        <f>COUNT(B5:B20)</f>
        <v>9</v>
      </c>
      <c r="K4" s="31" t="s">
        <v>25</v>
      </c>
      <c r="L4" s="31" t="s">
        <v>48</v>
      </c>
      <c r="M4" s="32" t="s">
        <v>49</v>
      </c>
      <c r="N4" s="31" t="s">
        <v>50</v>
      </c>
    </row>
    <row r="5" spans="1:14" x14ac:dyDescent="0.25">
      <c r="A5" s="4">
        <v>1</v>
      </c>
      <c r="B5" s="29">
        <v>72</v>
      </c>
      <c r="C5" s="29">
        <v>75</v>
      </c>
      <c r="E5" s="1" t="s">
        <v>34</v>
      </c>
      <c r="F5">
        <f>B22</f>
        <v>578</v>
      </c>
      <c r="G5" s="13" t="s">
        <v>41</v>
      </c>
      <c r="H5">
        <f>F5/F4</f>
        <v>64.222222222222229</v>
      </c>
      <c r="K5">
        <f t="shared" ref="K5:K19" si="0">IF(B5="","",B5)</f>
        <v>72</v>
      </c>
      <c r="L5">
        <f t="shared" ref="L5:L19" si="1">IF(B5="","",H$8*K5+H$9)</f>
        <v>73.989789907716471</v>
      </c>
      <c r="M5" s="33">
        <f t="shared" ref="M5:M20" si="2">IF(B5="","",C5-L5)</f>
        <v>1.0102100922835291</v>
      </c>
      <c r="N5" s="9">
        <f t="shared" ref="N5:N20" si="3">IF(B5="","",M5*M5)</f>
        <v>1.0205244305514964</v>
      </c>
    </row>
    <row r="6" spans="1:14" x14ac:dyDescent="0.25">
      <c r="A6" s="4">
        <v>2</v>
      </c>
      <c r="B6" s="29">
        <v>65</v>
      </c>
      <c r="C6" s="29">
        <v>66</v>
      </c>
      <c r="E6" s="1" t="s">
        <v>33</v>
      </c>
      <c r="F6">
        <f>C22</f>
        <v>605</v>
      </c>
      <c r="G6" s="13" t="s">
        <v>42</v>
      </c>
      <c r="H6">
        <f>F6/F4</f>
        <v>67.222222222222229</v>
      </c>
      <c r="K6">
        <f t="shared" si="0"/>
        <v>65</v>
      </c>
      <c r="L6">
        <f t="shared" si="1"/>
        <v>67.898978990771653</v>
      </c>
      <c r="M6" s="33">
        <f t="shared" si="2"/>
        <v>-1.8989789907716528</v>
      </c>
      <c r="N6" s="9">
        <f t="shared" si="3"/>
        <v>3.6061212073921247</v>
      </c>
    </row>
    <row r="7" spans="1:14" x14ac:dyDescent="0.25">
      <c r="A7" s="4">
        <v>3</v>
      </c>
      <c r="B7" s="29">
        <v>64</v>
      </c>
      <c r="C7" s="29">
        <v>69</v>
      </c>
      <c r="E7" s="1" t="s">
        <v>32</v>
      </c>
      <c r="F7">
        <f>D43</f>
        <v>40824</v>
      </c>
      <c r="K7">
        <f t="shared" si="0"/>
        <v>64</v>
      </c>
      <c r="L7">
        <f t="shared" si="1"/>
        <v>67.028863145493816</v>
      </c>
      <c r="M7" s="33">
        <f t="shared" si="2"/>
        <v>1.9711368545061845</v>
      </c>
      <c r="N7" s="9">
        <f t="shared" si="3"/>
        <v>3.8853804991925349</v>
      </c>
    </row>
    <row r="8" spans="1:14" ht="19.5" x14ac:dyDescent="0.3">
      <c r="A8" s="4">
        <v>4</v>
      </c>
      <c r="B8" s="29">
        <v>39</v>
      </c>
      <c r="C8" s="29">
        <v>45</v>
      </c>
      <c r="E8" s="1" t="s">
        <v>30</v>
      </c>
      <c r="F8">
        <f>B43</f>
        <v>39384</v>
      </c>
      <c r="G8" s="22" t="s">
        <v>38</v>
      </c>
      <c r="H8" s="23">
        <f>F12/F10</f>
        <v>0.87011584527783237</v>
      </c>
      <c r="K8">
        <f t="shared" si="0"/>
        <v>39</v>
      </c>
      <c r="L8">
        <f t="shared" si="1"/>
        <v>45.275967013548005</v>
      </c>
      <c r="M8" s="33">
        <f t="shared" si="2"/>
        <v>-0.27596701354800501</v>
      </c>
      <c r="N8" s="9">
        <f t="shared" si="3"/>
        <v>7.6157792566604779E-2</v>
      </c>
    </row>
    <row r="9" spans="1:14" ht="19.5" x14ac:dyDescent="0.3">
      <c r="A9" s="4">
        <v>5</v>
      </c>
      <c r="B9" s="29">
        <v>51</v>
      </c>
      <c r="C9" s="29">
        <v>54</v>
      </c>
      <c r="E9" s="1" t="s">
        <v>31</v>
      </c>
      <c r="F9">
        <f>C43</f>
        <v>42397</v>
      </c>
      <c r="G9" s="22" t="s">
        <v>39</v>
      </c>
      <c r="H9" s="23">
        <f>(F6-H8*F5)/F4</f>
        <v>11.341449047712546</v>
      </c>
      <c r="K9">
        <f t="shared" si="0"/>
        <v>51</v>
      </c>
      <c r="L9">
        <f t="shared" si="1"/>
        <v>55.717357156881995</v>
      </c>
      <c r="M9" s="33">
        <f t="shared" si="2"/>
        <v>-1.7173571568819952</v>
      </c>
      <c r="N9" s="9">
        <f t="shared" si="3"/>
        <v>2.94931560429381</v>
      </c>
    </row>
    <row r="10" spans="1:14" ht="18.75" x14ac:dyDescent="0.35">
      <c r="A10" s="4">
        <v>6</v>
      </c>
      <c r="B10" s="29">
        <v>85</v>
      </c>
      <c r="C10" s="29">
        <v>85</v>
      </c>
      <c r="E10" s="13" t="s">
        <v>35</v>
      </c>
      <c r="F10">
        <f>F4*F8-F5*F5</f>
        <v>20372</v>
      </c>
      <c r="K10">
        <f t="shared" si="0"/>
        <v>85</v>
      </c>
      <c r="L10">
        <f t="shared" si="1"/>
        <v>85.301295896328298</v>
      </c>
      <c r="M10" s="33">
        <f t="shared" si="2"/>
        <v>-0.30129589632829834</v>
      </c>
      <c r="N10" s="9">
        <f t="shared" si="3"/>
        <v>9.07792171442727E-2</v>
      </c>
    </row>
    <row r="11" spans="1:14" ht="18.75" x14ac:dyDescent="0.35">
      <c r="A11" s="4">
        <v>7</v>
      </c>
      <c r="B11" s="29">
        <v>52</v>
      </c>
      <c r="C11" s="29">
        <v>58</v>
      </c>
      <c r="E11" s="13" t="s">
        <v>36</v>
      </c>
      <c r="F11">
        <f>F4*F9-F6*F6</f>
        <v>15548</v>
      </c>
      <c r="G11" s="13" t="s">
        <v>15</v>
      </c>
      <c r="H11">
        <f>SIGN(H8)*SQRT(H12)</f>
        <v>0.99599382353189825</v>
      </c>
      <c r="K11">
        <f t="shared" si="0"/>
        <v>52</v>
      </c>
      <c r="L11">
        <f t="shared" si="1"/>
        <v>56.587473002159825</v>
      </c>
      <c r="M11" s="33">
        <f t="shared" si="2"/>
        <v>1.4125269978401747</v>
      </c>
      <c r="N11" s="9">
        <f t="shared" si="3"/>
        <v>1.9952325196273768</v>
      </c>
    </row>
    <row r="12" spans="1:14" ht="20.25" x14ac:dyDescent="0.35">
      <c r="A12" s="4">
        <v>8</v>
      </c>
      <c r="B12" s="29">
        <v>92</v>
      </c>
      <c r="C12" s="29">
        <v>91</v>
      </c>
      <c r="E12" s="13" t="s">
        <v>37</v>
      </c>
      <c r="F12">
        <f>F4*F7-F5*F6</f>
        <v>17726</v>
      </c>
      <c r="G12" s="14" t="s">
        <v>40</v>
      </c>
      <c r="H12" s="15">
        <f>G15/G17</f>
        <v>0.99200369651369014</v>
      </c>
      <c r="K12">
        <f t="shared" si="0"/>
        <v>92</v>
      </c>
      <c r="L12">
        <f t="shared" si="1"/>
        <v>91.392106813273116</v>
      </c>
      <c r="M12" s="33">
        <f t="shared" si="2"/>
        <v>-0.39210681327311647</v>
      </c>
      <c r="N12" s="9">
        <f t="shared" si="3"/>
        <v>0.15374775301519863</v>
      </c>
    </row>
    <row r="13" spans="1:14" x14ac:dyDescent="0.25">
      <c r="A13" s="4">
        <v>9</v>
      </c>
      <c r="B13" s="29">
        <v>58</v>
      </c>
      <c r="C13" s="29">
        <v>62</v>
      </c>
      <c r="K13">
        <f t="shared" si="0"/>
        <v>58</v>
      </c>
      <c r="L13">
        <f t="shared" si="1"/>
        <v>61.80816807382682</v>
      </c>
      <c r="M13" s="33">
        <f t="shared" si="2"/>
        <v>0.19183192617317957</v>
      </c>
      <c r="N13" s="9">
        <f t="shared" si="3"/>
        <v>3.6799487899312214E-2</v>
      </c>
    </row>
    <row r="14" spans="1:14" x14ac:dyDescent="0.25">
      <c r="B14" s="29"/>
      <c r="C14" s="29"/>
      <c r="E14" s="27" t="s">
        <v>8</v>
      </c>
      <c r="F14" s="26" t="s">
        <v>11</v>
      </c>
      <c r="G14" s="26" t="s">
        <v>10</v>
      </c>
      <c r="H14" s="26" t="s">
        <v>12</v>
      </c>
      <c r="I14" s="20" t="s">
        <v>16</v>
      </c>
      <c r="K14" t="str">
        <f t="shared" si="0"/>
        <v/>
      </c>
      <c r="L14" t="str">
        <f t="shared" si="1"/>
        <v/>
      </c>
      <c r="M14" s="33" t="str">
        <f t="shared" si="2"/>
        <v/>
      </c>
      <c r="N14" s="9" t="str">
        <f t="shared" si="3"/>
        <v/>
      </c>
    </row>
    <row r="15" spans="1:14" x14ac:dyDescent="0.25">
      <c r="B15" s="29"/>
      <c r="C15" s="29"/>
      <c r="E15" s="28" t="s">
        <v>9</v>
      </c>
      <c r="F15" s="4">
        <v>1</v>
      </c>
      <c r="G15" s="7">
        <f>F12*F12/(F4*F10)</f>
        <v>1713.7414970438729</v>
      </c>
      <c r="H15" s="7">
        <f>G15/F15</f>
        <v>1713.7414970438729</v>
      </c>
      <c r="I15">
        <f>H15/H16</f>
        <v>868.40449308664245</v>
      </c>
      <c r="K15" t="str">
        <f t="shared" si="0"/>
        <v/>
      </c>
      <c r="L15" t="str">
        <f t="shared" si="1"/>
        <v/>
      </c>
      <c r="M15" s="33" t="str">
        <f t="shared" si="2"/>
        <v/>
      </c>
      <c r="N15" s="9" t="str">
        <f t="shared" si="3"/>
        <v/>
      </c>
    </row>
    <row r="16" spans="1:14" x14ac:dyDescent="0.25">
      <c r="B16" s="29"/>
      <c r="C16" s="29"/>
      <c r="E16" s="28" t="s">
        <v>13</v>
      </c>
      <c r="F16" s="4">
        <f>F4-2</f>
        <v>7</v>
      </c>
      <c r="G16" s="7">
        <f>G17-G15</f>
        <v>13.814058511682788</v>
      </c>
      <c r="H16" s="7">
        <f>G16/F16</f>
        <v>1.9734369302403982</v>
      </c>
      <c r="K16" t="str">
        <f t="shared" si="0"/>
        <v/>
      </c>
      <c r="L16" t="str">
        <f t="shared" si="1"/>
        <v/>
      </c>
      <c r="M16" s="33" t="str">
        <f t="shared" si="2"/>
        <v/>
      </c>
      <c r="N16" s="9" t="str">
        <f t="shared" si="3"/>
        <v/>
      </c>
    </row>
    <row r="17" spans="1:14" x14ac:dyDescent="0.25">
      <c r="B17" s="29"/>
      <c r="C17" s="29"/>
      <c r="E17" s="28" t="s">
        <v>14</v>
      </c>
      <c r="F17" s="4">
        <f>F15+F16</f>
        <v>8</v>
      </c>
      <c r="G17" s="7">
        <f>F11/F4</f>
        <v>1727.5555555555557</v>
      </c>
      <c r="H17" s="7"/>
      <c r="K17" t="str">
        <f t="shared" si="0"/>
        <v/>
      </c>
      <c r="L17" t="str">
        <f t="shared" si="1"/>
        <v/>
      </c>
      <c r="M17" s="33" t="str">
        <f t="shared" si="2"/>
        <v/>
      </c>
      <c r="N17" s="9" t="str">
        <f t="shared" si="3"/>
        <v/>
      </c>
    </row>
    <row r="18" spans="1:14" x14ac:dyDescent="0.25">
      <c r="B18" s="29"/>
      <c r="C18" s="29"/>
      <c r="E18" s="1"/>
      <c r="F18" s="3"/>
      <c r="G18" s="3"/>
      <c r="H18" s="3"/>
      <c r="K18" t="str">
        <f t="shared" si="0"/>
        <v/>
      </c>
      <c r="L18" t="str">
        <f t="shared" si="1"/>
        <v/>
      </c>
      <c r="M18" s="33" t="str">
        <f t="shared" si="2"/>
        <v/>
      </c>
      <c r="N18" s="9" t="str">
        <f t="shared" si="3"/>
        <v/>
      </c>
    </row>
    <row r="19" spans="1:14" ht="20.25" x14ac:dyDescent="0.35">
      <c r="B19" s="29"/>
      <c r="C19" s="29"/>
      <c r="E19" s="13" t="s">
        <v>43</v>
      </c>
      <c r="F19" s="3">
        <f>H16*F4/F10</f>
        <v>8.7183057000606631E-4</v>
      </c>
      <c r="G19" s="19" t="s">
        <v>44</v>
      </c>
      <c r="H19" s="20" t="s">
        <v>45</v>
      </c>
      <c r="I19" s="21" t="s">
        <v>20</v>
      </c>
      <c r="K19" t="str">
        <f t="shared" si="0"/>
        <v/>
      </c>
      <c r="L19" t="str">
        <f t="shared" si="1"/>
        <v/>
      </c>
      <c r="M19" s="33" t="str">
        <f t="shared" si="2"/>
        <v/>
      </c>
      <c r="N19" s="9" t="str">
        <f t="shared" si="3"/>
        <v/>
      </c>
    </row>
    <row r="20" spans="1:14" ht="21.75" x14ac:dyDescent="0.55000000000000004">
      <c r="B20" s="30"/>
      <c r="C20" s="29"/>
      <c r="E20" s="16" t="s">
        <v>17</v>
      </c>
      <c r="F20" s="17">
        <f>SIGN(H8)*SQRT(I15)</f>
        <v>29.468703620733681</v>
      </c>
      <c r="G20" s="18">
        <v>0.1</v>
      </c>
      <c r="H20" s="10">
        <f>TINV(G20,$F$16)</f>
        <v>1.8945786050900073</v>
      </c>
      <c r="I20" s="1" t="str">
        <f>IF(ABS(F$20)&gt;H20,"Reject","Keep")</f>
        <v>Reject</v>
      </c>
      <c r="J20" s="35" t="s">
        <v>52</v>
      </c>
      <c r="L20" t="str">
        <f>IF(B20="","",H$8*J20+H$9)</f>
        <v/>
      </c>
      <c r="M20" s="33" t="str">
        <f t="shared" si="2"/>
        <v/>
      </c>
      <c r="N20" s="9" t="str">
        <f t="shared" si="3"/>
        <v/>
      </c>
    </row>
    <row r="21" spans="1:14" ht="21.75" x14ac:dyDescent="0.55000000000000004">
      <c r="A21" t="s">
        <v>7</v>
      </c>
      <c r="B21" s="1"/>
      <c r="C21" s="5"/>
      <c r="E21" s="1"/>
      <c r="F21" s="3"/>
      <c r="G21" s="18">
        <v>0.05</v>
      </c>
      <c r="H21" s="10">
        <f>TINV(G21,$F$16)</f>
        <v>2.3646242515927849</v>
      </c>
      <c r="I21" s="1" t="str">
        <f t="shared" ref="I21:I23" si="4">IF(ABS(F$20)&gt;H21,"Reject","Keep")</f>
        <v>Reject</v>
      </c>
      <c r="J21" s="35" t="s">
        <v>52</v>
      </c>
      <c r="M21" s="33"/>
    </row>
    <row r="22" spans="1:14" ht="21.75" x14ac:dyDescent="0.55000000000000004">
      <c r="A22" s="1" t="s">
        <v>3</v>
      </c>
      <c r="B22" s="1">
        <f>SUM(B5:B20)</f>
        <v>578</v>
      </c>
      <c r="C22" s="1">
        <f>SUM(C5:C20)</f>
        <v>605</v>
      </c>
      <c r="G22" s="18">
        <v>0.01</v>
      </c>
      <c r="H22" s="10">
        <f>TINV(G22,$F$16)</f>
        <v>3.4994832973504946</v>
      </c>
      <c r="I22" s="1" t="str">
        <f t="shared" si="4"/>
        <v>Reject</v>
      </c>
      <c r="J22" s="35" t="s">
        <v>52</v>
      </c>
      <c r="L22" s="6" t="s">
        <v>3</v>
      </c>
      <c r="M22" s="33">
        <f>SUM(M5:M20)</f>
        <v>0</v>
      </c>
      <c r="N22" s="9">
        <f>SUM(N5:N20)</f>
        <v>13.814058511682731</v>
      </c>
    </row>
    <row r="23" spans="1:14" ht="21.75" x14ac:dyDescent="0.55000000000000004">
      <c r="E23" s="24" t="s">
        <v>23</v>
      </c>
      <c r="F23" s="25">
        <f>TDIST(ABS(F20),F16,2)</f>
        <v>1.3347488761457156E-8</v>
      </c>
      <c r="G23" s="18">
        <v>1E-3</v>
      </c>
      <c r="H23" s="10">
        <f>TINV(G23,$F$16)</f>
        <v>5.4078825208617252</v>
      </c>
      <c r="I23" s="1" t="str">
        <f t="shared" si="4"/>
        <v>Reject</v>
      </c>
      <c r="J23" s="35" t="s">
        <v>52</v>
      </c>
    </row>
    <row r="24" spans="1:14" ht="21.75" x14ac:dyDescent="0.55000000000000004">
      <c r="A24" s="2" t="s">
        <v>5</v>
      </c>
      <c r="B24" s="2" t="s">
        <v>1</v>
      </c>
      <c r="C24" s="2" t="s">
        <v>0</v>
      </c>
      <c r="D24" s="2" t="s">
        <v>4</v>
      </c>
      <c r="E24" s="1"/>
      <c r="F24" s="34" t="s">
        <v>46</v>
      </c>
      <c r="G24" s="11" t="s">
        <v>21</v>
      </c>
      <c r="H24" s="34" t="s">
        <v>47</v>
      </c>
      <c r="I24" s="11" t="s">
        <v>22</v>
      </c>
      <c r="M24" s="35"/>
    </row>
    <row r="25" spans="1:14" ht="20.25" x14ac:dyDescent="0.35">
      <c r="A25" s="12" t="s">
        <v>6</v>
      </c>
      <c r="B25" s="12" t="s">
        <v>27</v>
      </c>
      <c r="C25" s="12" t="s">
        <v>28</v>
      </c>
      <c r="D25" s="12" t="s">
        <v>29</v>
      </c>
      <c r="E25" s="1"/>
      <c r="F25" s="39" t="s">
        <v>62</v>
      </c>
      <c r="G25" s="10">
        <f>TINV(0.05,F16)</f>
        <v>2.3646242515927849</v>
      </c>
      <c r="M25" s="35"/>
    </row>
    <row r="26" spans="1:14" x14ac:dyDescent="0.25">
      <c r="A26" s="4">
        <v>1</v>
      </c>
      <c r="B26">
        <f t="shared" ref="B26:C41" si="5">B5*B5</f>
        <v>5184</v>
      </c>
      <c r="C26">
        <f t="shared" si="5"/>
        <v>5625</v>
      </c>
      <c r="D26">
        <f t="shared" ref="D26:D34" si="6">B5*C5</f>
        <v>5400</v>
      </c>
      <c r="E26" s="4"/>
      <c r="G26" s="36" t="s">
        <v>53</v>
      </c>
      <c r="H26" s="36"/>
      <c r="I26" s="36"/>
      <c r="J26" s="36"/>
      <c r="K26" s="36"/>
    </row>
    <row r="27" spans="1:14" x14ac:dyDescent="0.25">
      <c r="A27" s="4">
        <v>2</v>
      </c>
      <c r="B27">
        <f t="shared" si="5"/>
        <v>4225</v>
      </c>
      <c r="C27">
        <f t="shared" si="5"/>
        <v>4356</v>
      </c>
      <c r="D27">
        <f t="shared" si="6"/>
        <v>4290</v>
      </c>
      <c r="E27" s="4"/>
      <c r="F27" s="37" t="s">
        <v>54</v>
      </c>
      <c r="G27" s="38" t="s">
        <v>55</v>
      </c>
      <c r="H27" s="38" t="s">
        <v>56</v>
      </c>
      <c r="I27" s="38" t="s">
        <v>57</v>
      </c>
      <c r="J27" s="38" t="s">
        <v>58</v>
      </c>
      <c r="K27" s="38" t="s">
        <v>59</v>
      </c>
      <c r="L27" s="5" t="s">
        <v>60</v>
      </c>
      <c r="M27" s="5" t="s">
        <v>61</v>
      </c>
    </row>
    <row r="28" spans="1:14" x14ac:dyDescent="0.25">
      <c r="A28" s="4">
        <v>3</v>
      </c>
      <c r="B28">
        <f t="shared" si="5"/>
        <v>4096</v>
      </c>
      <c r="C28">
        <f t="shared" si="5"/>
        <v>4761</v>
      </c>
      <c r="D28">
        <f t="shared" si="6"/>
        <v>4416</v>
      </c>
      <c r="F28" s="35">
        <v>30</v>
      </c>
      <c r="G28" s="35">
        <f>$H$8*F28+$H$9</f>
        <v>37.444924406047519</v>
      </c>
      <c r="H28" s="35">
        <f>G28-L28</f>
        <v>34.81144598553032</v>
      </c>
      <c r="I28" s="35">
        <f>G28+L28</f>
        <v>40.078402826564719</v>
      </c>
      <c r="J28" s="35">
        <f>G28-M28</f>
        <v>33.205870469796871</v>
      </c>
      <c r="K28" s="35">
        <f>G28+M28</f>
        <v>41.683978342298168</v>
      </c>
      <c r="L28" s="35">
        <f>$G$25*SQRT($H$16*((1/$F$4)+($F28-$H$5)^2*$F$4/$F$10))</f>
        <v>2.6334784205172022</v>
      </c>
      <c r="M28" s="35">
        <f>$G$25*SQRT($H$16*(1+(1/$F$4)+($F28-$H$5)^2*$F$4/$F$10))</f>
        <v>4.239053936250647</v>
      </c>
    </row>
    <row r="29" spans="1:14" x14ac:dyDescent="0.25">
      <c r="A29" s="4">
        <v>4</v>
      </c>
      <c r="B29">
        <f t="shared" si="5"/>
        <v>1521</v>
      </c>
      <c r="C29">
        <f t="shared" si="5"/>
        <v>2025</v>
      </c>
      <c r="D29">
        <f t="shared" si="6"/>
        <v>1755</v>
      </c>
      <c r="F29" s="40">
        <f>F28+10</f>
        <v>40</v>
      </c>
      <c r="G29" s="35">
        <f t="shared" ref="G29:G35" si="7">$H$8*F29+$H$9</f>
        <v>46.146082858825835</v>
      </c>
      <c r="H29" s="35">
        <f t="shared" ref="H29:H35" si="8">G29-L29</f>
        <v>44.124657213890281</v>
      </c>
      <c r="I29" s="35">
        <f t="shared" ref="I29:I35" si="9">G29+L29</f>
        <v>48.16750850376139</v>
      </c>
      <c r="J29" s="35">
        <f t="shared" ref="J29:J35" si="10">G29-M29</f>
        <v>42.257570119857959</v>
      </c>
      <c r="K29" s="35">
        <f t="shared" ref="K29:K35" si="11">G29+M29</f>
        <v>50.034595597793711</v>
      </c>
      <c r="L29" s="35">
        <f t="shared" ref="L29:L37" si="12">$G$25*SQRT($H$16*((1/$F$4)+($F29-$H$5)^2*$F$4/$F$10))</f>
        <v>2.0214256449355519</v>
      </c>
      <c r="M29" s="35">
        <f t="shared" ref="M29:M37" si="13">$G$25*SQRT($H$16*(1+(1/$F$4)+($F29-$H$5)^2*$F$4/$F$10))</f>
        <v>3.8885127389678735</v>
      </c>
    </row>
    <row r="30" spans="1:14" x14ac:dyDescent="0.25">
      <c r="A30" s="4">
        <v>5</v>
      </c>
      <c r="B30">
        <f t="shared" si="5"/>
        <v>2601</v>
      </c>
      <c r="C30">
        <f t="shared" si="5"/>
        <v>2916</v>
      </c>
      <c r="D30">
        <f t="shared" si="6"/>
        <v>2754</v>
      </c>
      <c r="F30" s="40">
        <f t="shared" ref="F30:F35" si="14">F29+10</f>
        <v>50</v>
      </c>
      <c r="G30" s="35">
        <f t="shared" si="7"/>
        <v>54.847241311604165</v>
      </c>
      <c r="H30" s="35">
        <f t="shared" si="8"/>
        <v>53.359937133524163</v>
      </c>
      <c r="I30" s="35">
        <f t="shared" si="9"/>
        <v>56.334545489684167</v>
      </c>
      <c r="J30" s="35">
        <f t="shared" si="10"/>
        <v>51.207674936162363</v>
      </c>
      <c r="K30" s="35">
        <f t="shared" si="11"/>
        <v>58.486807687045967</v>
      </c>
      <c r="L30" s="35">
        <f t="shared" si="12"/>
        <v>1.4873041780800054</v>
      </c>
      <c r="M30" s="35">
        <f t="shared" si="13"/>
        <v>3.6395663754418002</v>
      </c>
    </row>
    <row r="31" spans="1:14" x14ac:dyDescent="0.25">
      <c r="A31" s="4">
        <v>6</v>
      </c>
      <c r="B31">
        <f t="shared" si="5"/>
        <v>7225</v>
      </c>
      <c r="C31">
        <f t="shared" si="5"/>
        <v>7225</v>
      </c>
      <c r="D31">
        <f t="shared" si="6"/>
        <v>7225</v>
      </c>
      <c r="F31" s="40">
        <f t="shared" si="14"/>
        <v>60</v>
      </c>
      <c r="G31" s="35">
        <f t="shared" si="7"/>
        <v>63.548399764382488</v>
      </c>
      <c r="H31" s="35">
        <f t="shared" si="8"/>
        <v>62.402561716609959</v>
      </c>
      <c r="I31" s="35">
        <f t="shared" si="9"/>
        <v>64.694237812155023</v>
      </c>
      <c r="J31" s="35">
        <f t="shared" si="10"/>
        <v>60.034525191374016</v>
      </c>
      <c r="K31" s="35">
        <f t="shared" si="11"/>
        <v>67.06227433739096</v>
      </c>
      <c r="L31" s="35">
        <f t="shared" si="12"/>
        <v>1.1458380477725301</v>
      </c>
      <c r="M31" s="35">
        <f t="shared" si="13"/>
        <v>3.5138745730084739</v>
      </c>
    </row>
    <row r="32" spans="1:14" x14ac:dyDescent="0.25">
      <c r="A32" s="4">
        <v>7</v>
      </c>
      <c r="B32">
        <f t="shared" si="5"/>
        <v>2704</v>
      </c>
      <c r="C32">
        <f t="shared" si="5"/>
        <v>3364</v>
      </c>
      <c r="D32">
        <f t="shared" si="6"/>
        <v>3016</v>
      </c>
      <c r="F32" s="40">
        <f t="shared" si="14"/>
        <v>70</v>
      </c>
      <c r="G32" s="35">
        <f t="shared" si="7"/>
        <v>72.249558217160811</v>
      </c>
      <c r="H32" s="35">
        <f t="shared" si="8"/>
        <v>71.071095244144743</v>
      </c>
      <c r="I32" s="35">
        <f t="shared" si="9"/>
        <v>73.428021190176878</v>
      </c>
      <c r="J32" s="35">
        <f t="shared" si="10"/>
        <v>68.724910055729339</v>
      </c>
      <c r="K32" s="35">
        <f t="shared" si="11"/>
        <v>75.774206378592282</v>
      </c>
      <c r="L32" s="35">
        <f t="shared" si="12"/>
        <v>1.1784629730160721</v>
      </c>
      <c r="M32" s="35">
        <f t="shared" si="13"/>
        <v>3.5246481614314646</v>
      </c>
    </row>
    <row r="33" spans="1:13" x14ac:dyDescent="0.25">
      <c r="A33" s="4">
        <v>8</v>
      </c>
      <c r="B33">
        <f t="shared" si="5"/>
        <v>8464</v>
      </c>
      <c r="C33">
        <f t="shared" si="5"/>
        <v>8281</v>
      </c>
      <c r="D33">
        <f t="shared" si="6"/>
        <v>8372</v>
      </c>
      <c r="F33" s="40">
        <f t="shared" si="14"/>
        <v>80</v>
      </c>
      <c r="G33" s="35">
        <f t="shared" si="7"/>
        <v>80.950716669939126</v>
      </c>
      <c r="H33" s="35">
        <f t="shared" si="8"/>
        <v>79.38880625020488</v>
      </c>
      <c r="I33" s="35">
        <f t="shared" si="9"/>
        <v>82.512627089673373</v>
      </c>
      <c r="J33" s="35">
        <f t="shared" si="10"/>
        <v>77.280030924415996</v>
      </c>
      <c r="K33" s="35">
        <f t="shared" si="11"/>
        <v>84.621402415462256</v>
      </c>
      <c r="L33" s="35">
        <f t="shared" si="12"/>
        <v>1.5619104197342404</v>
      </c>
      <c r="M33" s="35">
        <f t="shared" si="13"/>
        <v>3.6706857455231323</v>
      </c>
    </row>
    <row r="34" spans="1:13" x14ac:dyDescent="0.25">
      <c r="A34" s="4">
        <v>9</v>
      </c>
      <c r="B34">
        <f t="shared" si="5"/>
        <v>3364</v>
      </c>
      <c r="C34">
        <f t="shared" si="5"/>
        <v>3844</v>
      </c>
      <c r="D34">
        <f t="shared" si="6"/>
        <v>3596</v>
      </c>
      <c r="F34" s="40">
        <f t="shared" si="14"/>
        <v>90</v>
      </c>
      <c r="G34" s="35">
        <f t="shared" si="7"/>
        <v>89.651875122717456</v>
      </c>
      <c r="H34" s="35">
        <f t="shared" si="8"/>
        <v>87.538746548012</v>
      </c>
      <c r="I34" s="35">
        <f t="shared" si="9"/>
        <v>91.765003697422912</v>
      </c>
      <c r="J34" s="35">
        <f t="shared" si="10"/>
        <v>85.714911564802676</v>
      </c>
      <c r="K34" s="35">
        <f t="shared" si="11"/>
        <v>93.588838680632236</v>
      </c>
      <c r="L34" s="35">
        <f t="shared" si="12"/>
        <v>2.1131285747054522</v>
      </c>
      <c r="M34" s="35">
        <f t="shared" si="13"/>
        <v>3.9369635579147819</v>
      </c>
    </row>
    <row r="35" spans="1:13" x14ac:dyDescent="0.25">
      <c r="B35">
        <f t="shared" si="5"/>
        <v>0</v>
      </c>
      <c r="C35">
        <f t="shared" si="5"/>
        <v>0</v>
      </c>
      <c r="D35">
        <f t="shared" ref="D35:D41" si="15">B14*C14</f>
        <v>0</v>
      </c>
      <c r="F35" s="40">
        <f t="shared" si="14"/>
        <v>100</v>
      </c>
      <c r="G35" s="35">
        <f t="shared" si="7"/>
        <v>98.353033575495786</v>
      </c>
      <c r="H35" s="35">
        <f t="shared" si="8"/>
        <v>95.620631771101571</v>
      </c>
      <c r="I35" s="35">
        <f t="shared" si="9"/>
        <v>101.08543537989</v>
      </c>
      <c r="J35" s="35">
        <f t="shared" si="10"/>
        <v>94.051825686568634</v>
      </c>
      <c r="K35" s="35">
        <f t="shared" si="11"/>
        <v>102.65424146442294</v>
      </c>
      <c r="L35" s="35">
        <f t="shared" si="12"/>
        <v>2.7324018043942209</v>
      </c>
      <c r="M35" s="35">
        <f t="shared" si="13"/>
        <v>4.3012078889271468</v>
      </c>
    </row>
    <row r="36" spans="1:13" x14ac:dyDescent="0.25">
      <c r="B36">
        <f t="shared" si="5"/>
        <v>0</v>
      </c>
      <c r="C36">
        <f t="shared" si="5"/>
        <v>0</v>
      </c>
      <c r="D36">
        <f t="shared" si="15"/>
        <v>0</v>
      </c>
      <c r="F36" s="35"/>
      <c r="G36" s="35"/>
      <c r="H36" s="35"/>
      <c r="I36" s="35"/>
      <c r="J36" s="35"/>
      <c r="K36" s="35"/>
      <c r="L36" s="35"/>
      <c r="M36" s="35"/>
    </row>
    <row r="37" spans="1:13" x14ac:dyDescent="0.25">
      <c r="B37">
        <f t="shared" si="5"/>
        <v>0</v>
      </c>
      <c r="C37">
        <f t="shared" si="5"/>
        <v>0</v>
      </c>
      <c r="D37">
        <f t="shared" si="15"/>
        <v>0</v>
      </c>
      <c r="F37" s="35">
        <f>H5</f>
        <v>64.222222222222229</v>
      </c>
      <c r="G37" s="35">
        <f>H6</f>
        <v>67.222222222222229</v>
      </c>
      <c r="H37" s="35">
        <f t="shared" ref="H37" si="16">G37-L37</f>
        <v>66.114954830892856</v>
      </c>
      <c r="I37" s="35">
        <f t="shared" ref="I37" si="17">G37+L37</f>
        <v>68.329489613551601</v>
      </c>
      <c r="J37" s="35">
        <f t="shared" ref="J37" si="18">G37-M37</f>
        <v>63.720735286788411</v>
      </c>
      <c r="K37" s="35">
        <f t="shared" ref="K37" si="19">G37+M37</f>
        <v>70.723709157656046</v>
      </c>
      <c r="L37" s="35">
        <f t="shared" si="12"/>
        <v>1.1072673913293796</v>
      </c>
      <c r="M37" s="35">
        <f t="shared" si="13"/>
        <v>3.5014869354338156</v>
      </c>
    </row>
    <row r="38" spans="1:13" x14ac:dyDescent="0.25">
      <c r="B38">
        <f t="shared" si="5"/>
        <v>0</v>
      </c>
      <c r="C38">
        <f t="shared" si="5"/>
        <v>0</v>
      </c>
      <c r="D38">
        <f t="shared" si="15"/>
        <v>0</v>
      </c>
      <c r="F38" s="35"/>
      <c r="G38" s="35"/>
      <c r="H38" s="35"/>
      <c r="I38" s="35"/>
      <c r="J38" s="35"/>
      <c r="K38" s="35"/>
      <c r="L38" s="35"/>
      <c r="M38" s="35"/>
    </row>
    <row r="39" spans="1:13" x14ac:dyDescent="0.25">
      <c r="B39">
        <f t="shared" si="5"/>
        <v>0</v>
      </c>
      <c r="C39">
        <f t="shared" si="5"/>
        <v>0</v>
      </c>
      <c r="D39">
        <f t="shared" si="15"/>
        <v>0</v>
      </c>
      <c r="F39" s="35"/>
      <c r="G39" s="35"/>
      <c r="H39" s="35"/>
      <c r="I39" s="35"/>
      <c r="J39" s="35"/>
      <c r="K39" s="35"/>
      <c r="L39" s="35"/>
      <c r="M39" s="35"/>
    </row>
    <row r="40" spans="1:13" x14ac:dyDescent="0.25">
      <c r="B40">
        <f t="shared" si="5"/>
        <v>0</v>
      </c>
      <c r="C40">
        <f t="shared" si="5"/>
        <v>0</v>
      </c>
      <c r="D40">
        <f t="shared" si="15"/>
        <v>0</v>
      </c>
      <c r="F40" s="35"/>
      <c r="G40" s="35"/>
      <c r="H40" s="35"/>
      <c r="I40" s="35"/>
      <c r="J40" s="35"/>
      <c r="K40" s="35"/>
      <c r="L40" s="35"/>
      <c r="M40" s="35"/>
    </row>
    <row r="41" spans="1:13" x14ac:dyDescent="0.25">
      <c r="B41">
        <f t="shared" si="5"/>
        <v>0</v>
      </c>
      <c r="C41">
        <f t="shared" si="5"/>
        <v>0</v>
      </c>
      <c r="D41">
        <f t="shared" si="15"/>
        <v>0</v>
      </c>
      <c r="F41" s="35"/>
      <c r="G41" s="35"/>
      <c r="H41" s="35"/>
      <c r="I41" s="35"/>
      <c r="J41" s="35"/>
      <c r="K41" s="35"/>
      <c r="L41" s="35"/>
      <c r="M41" s="35"/>
    </row>
    <row r="42" spans="1:13" x14ac:dyDescent="0.25">
      <c r="F42" s="35"/>
      <c r="G42" s="35"/>
      <c r="H42" s="35"/>
      <c r="I42" s="35"/>
      <c r="J42" s="35"/>
      <c r="K42" s="35"/>
      <c r="L42" s="35"/>
      <c r="M42" s="35"/>
    </row>
    <row r="43" spans="1:13" x14ac:dyDescent="0.25">
      <c r="A43" s="1" t="s">
        <v>3</v>
      </c>
      <c r="B43" s="5">
        <f>SUM(B26:B41)</f>
        <v>39384</v>
      </c>
      <c r="C43" s="5">
        <f>SUM(C26:C41)</f>
        <v>42397</v>
      </c>
      <c r="D43" s="5">
        <f>SUM(D26:D41)</f>
        <v>40824</v>
      </c>
    </row>
  </sheetData>
  <sheetProtection sheet="1" objects="1" scenarios="1"/>
  <mergeCells count="1">
    <mergeCell ref="G26:K2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>
    <oddHeader>&amp;L&amp;"Times New Roman,Bold"ENGI 4421&amp;C&amp;"Times New Roman,Bold"Simple Linear Regression&amp;R&amp;"Lincoln,Regular"&amp;14Dr.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Graph1</vt:lpstr>
      <vt:lpstr>Graph2</vt:lpstr>
      <vt:lpstr>CI - PI</vt:lpstr>
      <vt:lpstr>Table!Print_Area</vt:lpstr>
    </vt:vector>
  </TitlesOfParts>
  <Company>Memorial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Regression from data; example 15.02</dc:title>
  <dc:subject>ENGI 4421 Probability and Statistics</dc:subject>
  <dc:creator>Dr. G. George</dc:creator>
  <cp:lastModifiedBy>Glyn George</cp:lastModifiedBy>
  <cp:lastPrinted>2015-02-20T20:12:23Z</cp:lastPrinted>
  <dcterms:created xsi:type="dcterms:W3CDTF">1997-10-23T16:36:17Z</dcterms:created>
  <dcterms:modified xsi:type="dcterms:W3CDTF">2023-01-16T17:19:51Z</dcterms:modified>
</cp:coreProperties>
</file>